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155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/>
  <c r="K41" l="1"/>
  <c r="D11" l="1"/>
  <c r="L35" s="1"/>
  <c r="L31"/>
  <c r="B33"/>
  <c r="D9"/>
  <c r="B17"/>
  <c r="I35" l="1"/>
  <c r="E35"/>
  <c r="G35"/>
  <c r="J35"/>
  <c r="B35"/>
  <c r="H35"/>
  <c r="D35"/>
  <c r="K35"/>
  <c r="C35"/>
  <c r="F35"/>
  <c r="D13"/>
  <c r="D12"/>
  <c r="B34"/>
  <c r="B22"/>
  <c r="B19"/>
  <c r="C19" l="1"/>
  <c r="D19" s="1"/>
  <c r="E19" s="1"/>
  <c r="F19" s="1"/>
  <c r="G19" s="1"/>
  <c r="H19" s="1"/>
  <c r="I19" s="1"/>
  <c r="J19" s="1"/>
  <c r="K19" s="1"/>
  <c r="L19" s="1"/>
  <c r="B25"/>
  <c r="C17"/>
  <c r="B20"/>
  <c r="B23"/>
  <c r="C20" l="1"/>
  <c r="B21" s="1"/>
  <c r="C22"/>
  <c r="B18"/>
  <c r="C25" l="1"/>
  <c r="D17"/>
  <c r="C18" s="1"/>
  <c r="C23"/>
  <c r="D22" l="1"/>
  <c r="D25" s="1"/>
  <c r="D20"/>
  <c r="C21" s="1"/>
  <c r="E17" l="1"/>
  <c r="E22" s="1"/>
  <c r="D23"/>
  <c r="D18" l="1"/>
  <c r="E20"/>
  <c r="D21" s="1"/>
  <c r="E25"/>
  <c r="F17"/>
  <c r="E23"/>
  <c r="F20" l="1"/>
  <c r="E21" s="1"/>
  <c r="F22"/>
  <c r="E18"/>
  <c r="F25" l="1"/>
  <c r="G17"/>
  <c r="F23"/>
  <c r="G20" l="1"/>
  <c r="F21" s="1"/>
  <c r="F18"/>
  <c r="G22"/>
  <c r="G25" l="1"/>
  <c r="H17"/>
  <c r="G23"/>
  <c r="H20" l="1"/>
  <c r="G21" s="1"/>
  <c r="H22"/>
  <c r="G18"/>
  <c r="H25" l="1"/>
  <c r="I17"/>
  <c r="H23"/>
  <c r="H18" l="1"/>
  <c r="I20"/>
  <c r="H21" s="1"/>
  <c r="I22"/>
  <c r="I25" l="1"/>
  <c r="J17"/>
  <c r="I23"/>
  <c r="J22" l="1"/>
  <c r="J20"/>
  <c r="I21" s="1"/>
  <c r="I18"/>
  <c r="J25" l="1"/>
  <c r="K17"/>
  <c r="J23"/>
  <c r="K20" l="1"/>
  <c r="J21" s="1"/>
  <c r="K22"/>
  <c r="J18"/>
  <c r="K25" l="1"/>
  <c r="B26" s="1"/>
  <c r="L17"/>
  <c r="B24" s="1"/>
  <c r="K23"/>
  <c r="B27" l="1"/>
  <c r="L20"/>
  <c r="K21" s="1"/>
  <c r="K18"/>
  <c r="B30" l="1"/>
  <c r="B32"/>
  <c r="C32"/>
  <c r="D32"/>
  <c r="E32"/>
  <c r="F32"/>
  <c r="G32"/>
  <c r="H32"/>
  <c r="I32"/>
  <c r="J32"/>
  <c r="C30" l="1"/>
  <c r="C33" l="1"/>
  <c r="C34" s="1"/>
  <c r="D30"/>
  <c r="B36" l="1"/>
  <c r="E30"/>
  <c r="D33"/>
  <c r="D34" s="1"/>
  <c r="C36" l="1"/>
  <c r="F30"/>
  <c r="E33"/>
  <c r="E34" s="1"/>
  <c r="D36" l="1"/>
  <c r="G30"/>
  <c r="F33"/>
  <c r="F34" s="1"/>
  <c r="E36" l="1"/>
  <c r="H30"/>
  <c r="G33"/>
  <c r="G34" s="1"/>
  <c r="F36" l="1"/>
  <c r="H33"/>
  <c r="H34" s="1"/>
  <c r="I30"/>
  <c r="G36" l="1"/>
  <c r="J30"/>
  <c r="I33"/>
  <c r="I34" s="1"/>
  <c r="H36" l="1"/>
  <c r="J33"/>
  <c r="J34" s="1"/>
  <c r="K30"/>
  <c r="I36" l="1"/>
  <c r="K33"/>
  <c r="K34" s="1"/>
  <c r="J36" l="1"/>
  <c r="K36"/>
  <c r="B37" l="1"/>
  <c r="B38"/>
  <c r="C37"/>
  <c r="C38" s="1"/>
  <c r="C40" s="1"/>
  <c r="B41" s="1"/>
  <c r="K37"/>
  <c r="K38" s="1"/>
  <c r="K40" s="1"/>
  <c r="J41" s="1"/>
  <c r="D37"/>
  <c r="D38" s="1"/>
  <c r="D40" s="1"/>
  <c r="C41" s="1"/>
  <c r="E37"/>
  <c r="E38" s="1"/>
  <c r="E40" s="1"/>
  <c r="D41" s="1"/>
  <c r="J37"/>
  <c r="J38" s="1"/>
  <c r="J40" s="1"/>
  <c r="I41" s="1"/>
  <c r="H37"/>
  <c r="H38" s="1"/>
  <c r="H40" s="1"/>
  <c r="G41" s="1"/>
  <c r="F37"/>
  <c r="F38" s="1"/>
  <c r="F40" s="1"/>
  <c r="E41" s="1"/>
  <c r="G37"/>
  <c r="G38" s="1"/>
  <c r="G40" s="1"/>
  <c r="F41" s="1"/>
  <c r="I37"/>
  <c r="I38" s="1"/>
  <c r="I40" s="1"/>
  <c r="H41" s="1"/>
  <c r="B40" l="1"/>
  <c r="B42" s="1"/>
  <c r="B46" s="1"/>
  <c r="B47" s="1"/>
  <c r="C68"/>
  <c r="C69" s="1"/>
  <c r="B43" l="1"/>
  <c r="B55"/>
  <c r="C42"/>
  <c r="B52"/>
  <c r="D42" l="1"/>
  <c r="E42" s="1"/>
  <c r="C46"/>
  <c r="C47" s="1"/>
  <c r="C43"/>
  <c r="B44" s="1"/>
  <c r="B53" s="1"/>
  <c r="B54" s="1"/>
  <c r="B56" s="1"/>
  <c r="D43" l="1"/>
  <c r="C44" s="1"/>
  <c r="B57"/>
  <c r="B59" s="1"/>
  <c r="B61" s="1"/>
  <c r="B63" s="1"/>
  <c r="D46"/>
  <c r="D47" s="1"/>
  <c r="E43"/>
  <c r="D44" s="1"/>
  <c r="B58"/>
  <c r="E46"/>
  <c r="E47" s="1"/>
  <c r="F42"/>
  <c r="B60" l="1"/>
  <c r="F43"/>
  <c r="E44" s="1"/>
  <c r="F46"/>
  <c r="F47" s="1"/>
  <c r="G42"/>
  <c r="B62" l="1"/>
  <c r="C55"/>
  <c r="C52"/>
  <c r="C53" s="1"/>
  <c r="G43"/>
  <c r="F44" s="1"/>
  <c r="G46"/>
  <c r="G47" s="1"/>
  <c r="H42"/>
  <c r="B64" l="1"/>
  <c r="B65" s="1"/>
  <c r="C54"/>
  <c r="C56" s="1"/>
  <c r="C57" s="1"/>
  <c r="C59" s="1"/>
  <c r="C61" s="1"/>
  <c r="H43"/>
  <c r="G44" s="1"/>
  <c r="H46"/>
  <c r="H47" s="1"/>
  <c r="I42"/>
  <c r="C63" l="1"/>
  <c r="I43"/>
  <c r="H44" s="1"/>
  <c r="I46"/>
  <c r="I47" s="1"/>
  <c r="J42"/>
  <c r="K42" l="1"/>
  <c r="K46" s="1"/>
  <c r="K47" s="1"/>
  <c r="J43"/>
  <c r="I44" s="1"/>
  <c r="J46"/>
  <c r="J47" s="1"/>
  <c r="L42" l="1"/>
  <c r="K44" s="1"/>
  <c r="K43"/>
  <c r="J44" s="1"/>
  <c r="B48"/>
  <c r="B45" l="1"/>
  <c r="B49" s="1"/>
  <c r="B50" s="1"/>
  <c r="C58" l="1"/>
  <c r="C60" s="1"/>
  <c r="C62" l="1"/>
  <c r="D55"/>
  <c r="D52"/>
  <c r="D53" s="1"/>
  <c r="C64" l="1"/>
  <c r="C65" s="1"/>
  <c r="D54"/>
  <c r="D56" s="1"/>
  <c r="D57" s="1"/>
  <c r="D59" s="1"/>
  <c r="D61" s="1"/>
  <c r="D63" l="1"/>
  <c r="D58"/>
  <c r="D60" s="1"/>
  <c r="D62" l="1"/>
  <c r="E55"/>
  <c r="E52"/>
  <c r="E53" s="1"/>
  <c r="D64" l="1"/>
  <c r="D65" s="1"/>
  <c r="E54"/>
  <c r="E56" s="1"/>
  <c r="E57" s="1"/>
  <c r="E59" s="1"/>
  <c r="E61" s="1"/>
  <c r="E63" l="1"/>
  <c r="E58"/>
  <c r="E60" s="1"/>
  <c r="E62" l="1"/>
  <c r="F55"/>
  <c r="F52"/>
  <c r="F53" s="1"/>
  <c r="E64" l="1"/>
  <c r="E65" s="1"/>
  <c r="F54"/>
  <c r="F56" s="1"/>
  <c r="F57" s="1"/>
  <c r="F59" s="1"/>
  <c r="F61" s="1"/>
  <c r="F63" l="1"/>
  <c r="F58"/>
  <c r="F60" s="1"/>
  <c r="F62" l="1"/>
  <c r="G55"/>
  <c r="G52"/>
  <c r="G53" s="1"/>
  <c r="F64" l="1"/>
  <c r="F65" s="1"/>
  <c r="G54"/>
  <c r="G56" s="1"/>
  <c r="G57" s="1"/>
  <c r="G59" s="1"/>
  <c r="G61" s="1"/>
  <c r="G63" l="1"/>
  <c r="G58"/>
  <c r="G60" s="1"/>
  <c r="G62" l="1"/>
  <c r="H55"/>
  <c r="H52"/>
  <c r="H53" s="1"/>
  <c r="G64" l="1"/>
  <c r="G65" s="1"/>
  <c r="H54"/>
  <c r="H56" s="1"/>
  <c r="H57" s="1"/>
  <c r="H59" s="1"/>
  <c r="H61" s="1"/>
  <c r="H63" l="1"/>
  <c r="H58"/>
  <c r="H60" s="1"/>
  <c r="H62" l="1"/>
  <c r="I55"/>
  <c r="I52"/>
  <c r="I53" s="1"/>
  <c r="H64" l="1"/>
  <c r="H65" s="1"/>
  <c r="I54"/>
  <c r="I56" s="1"/>
  <c r="I57" s="1"/>
  <c r="I59" s="1"/>
  <c r="I61" s="1"/>
  <c r="I63" l="1"/>
  <c r="I58"/>
  <c r="I60" s="1"/>
  <c r="I62" l="1"/>
  <c r="J55"/>
  <c r="J52"/>
  <c r="J53" s="1"/>
  <c r="I64" l="1"/>
  <c r="I65" s="1"/>
  <c r="J54"/>
  <c r="J56" s="1"/>
  <c r="J57" s="1"/>
  <c r="J59" s="1"/>
  <c r="J61" s="1"/>
  <c r="J63" l="1"/>
  <c r="J58"/>
  <c r="J60" s="1"/>
  <c r="J62" l="1"/>
  <c r="K55"/>
  <c r="K52"/>
  <c r="K53" s="1"/>
  <c r="J64" l="1"/>
  <c r="J65" s="1"/>
  <c r="K54"/>
  <c r="K56" s="1"/>
  <c r="K57" s="1"/>
  <c r="K59" s="1"/>
  <c r="K61" s="1"/>
  <c r="K63" s="1"/>
  <c r="K58" l="1"/>
  <c r="K60" s="1"/>
  <c r="K62" s="1"/>
  <c r="K64" s="1"/>
  <c r="B66" s="1"/>
</calcChain>
</file>

<file path=xl/sharedStrings.xml><?xml version="1.0" encoding="utf-8"?>
<sst xmlns="http://schemas.openxmlformats.org/spreadsheetml/2006/main" count="67" uniqueCount="64">
  <si>
    <t>Percentage prescribed</t>
  </si>
  <si>
    <t>Inflation rate</t>
  </si>
  <si>
    <t>Bond coupon</t>
  </si>
  <si>
    <t>Equity dividend</t>
  </si>
  <si>
    <t>Principal</t>
  </si>
  <si>
    <t>Real Equity return</t>
  </si>
  <si>
    <t>Nominal equity return</t>
  </si>
  <si>
    <t>Equity value - beginning</t>
  </si>
  <si>
    <t>Dividend - end</t>
  </si>
  <si>
    <t>Real discount rate</t>
  </si>
  <si>
    <t>Nominal discount rate</t>
  </si>
  <si>
    <t>Portfolio value - end</t>
  </si>
  <si>
    <t>Bond value - beginning</t>
  </si>
  <si>
    <t>Bond price - end</t>
  </si>
  <si>
    <t>Coupon - end</t>
  </si>
  <si>
    <t>Bonds - number beginning</t>
  </si>
  <si>
    <t>Equity value - end</t>
  </si>
  <si>
    <t>NPV bonds - final</t>
  </si>
  <si>
    <t>NPV bonds - coupon</t>
  </si>
  <si>
    <t>Total NPV - bonds</t>
  </si>
  <si>
    <t>Total NPV - equities and bonds</t>
  </si>
  <si>
    <t>Number of shares</t>
  </si>
  <si>
    <t>EPS</t>
  </si>
  <si>
    <t>Total equity NPV</t>
  </si>
  <si>
    <t>NPV dividends at outset</t>
  </si>
  <si>
    <t>NPV equities -final value at beginning of year</t>
  </si>
  <si>
    <t>NPV of dividends at beginning of year</t>
  </si>
  <si>
    <t>Equities</t>
  </si>
  <si>
    <t>Bonds</t>
  </si>
  <si>
    <t>Bond face value ex coupon - beginning</t>
  </si>
  <si>
    <t>Face value calculation</t>
  </si>
  <si>
    <t>Market price valuation</t>
  </si>
  <si>
    <t>Bonds held</t>
  </si>
  <si>
    <t>NPV of coupons at beginning of year</t>
  </si>
  <si>
    <t>Cash flow</t>
  </si>
  <si>
    <t>Share price ex dividend - beginning</t>
  </si>
  <si>
    <t>Bonds value - beginning</t>
  </si>
  <si>
    <t>Bonds value - end</t>
  </si>
  <si>
    <t>Dividend plus coupon - end</t>
  </si>
  <si>
    <t>Required bond value - end</t>
  </si>
  <si>
    <t>Year</t>
  </si>
  <si>
    <t>Value before purchase - end</t>
  </si>
  <si>
    <t>Annual increase in share price</t>
  </si>
  <si>
    <t>Annual increase in bond price</t>
  </si>
  <si>
    <t>NPV bond price - beginning</t>
  </si>
  <si>
    <t>NPV - remaining coupons to date</t>
  </si>
  <si>
    <t>NPV bonds - final - beginning</t>
  </si>
  <si>
    <t>NPV bond price - end</t>
  </si>
  <si>
    <t>New equity purchase - end</t>
  </si>
  <si>
    <t>Number of new equities - end</t>
  </si>
  <si>
    <t>Share price ex dividend - end</t>
  </si>
  <si>
    <t>Total bonds - end</t>
  </si>
  <si>
    <t>Total equities - end</t>
  </si>
  <si>
    <t>Number of new bonds required - end</t>
  </si>
  <si>
    <t>Total portfolio value</t>
  </si>
  <si>
    <t>NPV - portfolio at end</t>
  </si>
  <si>
    <t>Value equities</t>
  </si>
  <si>
    <t>Value bonds</t>
  </si>
  <si>
    <t>Additional bond value requirement -end</t>
  </si>
  <si>
    <t>Per cent bonds</t>
  </si>
  <si>
    <t>Capital levy if bonds bought at 100% of face value</t>
  </si>
  <si>
    <t>Capital levy as percent of investment</t>
  </si>
  <si>
    <t>Adjustable inputs</t>
  </si>
  <si>
    <t>Prescribed Assets Worksheet</t>
  </si>
</sst>
</file>

<file path=xl/styles.xml><?xml version="1.0" encoding="utf-8"?>
<styleSheet xmlns="http://schemas.openxmlformats.org/spreadsheetml/2006/main">
  <numFmts count="6">
    <numFmt numFmtId="164" formatCode="&quot;R&quot;\ #,##0"/>
    <numFmt numFmtId="165" formatCode="&quot;R&quot;\ #,##0.00"/>
    <numFmt numFmtId="166" formatCode="0.0%"/>
    <numFmt numFmtId="167" formatCode="[$ZAR]\ #,##0.00"/>
    <numFmt numFmtId="168" formatCode="#,##0.000"/>
    <numFmt numFmtId="169" formatCode="[$ZAR]\ 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164" fontId="0" fillId="2" borderId="0" xfId="0" applyNumberFormat="1" applyFill="1"/>
    <xf numFmtId="10" fontId="0" fillId="3" borderId="0" xfId="0" applyNumberFormat="1" applyFill="1"/>
    <xf numFmtId="4" fontId="0" fillId="0" borderId="0" xfId="0" applyNumberFormat="1"/>
    <xf numFmtId="3" fontId="0" fillId="0" borderId="0" xfId="0" applyNumberFormat="1"/>
    <xf numFmtId="166" fontId="0" fillId="2" borderId="0" xfId="0" applyNumberFormat="1" applyFill="1"/>
    <xf numFmtId="9" fontId="0" fillId="2" borderId="0" xfId="0" applyNumberFormat="1" applyFill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2" fillId="0" borderId="0" xfId="0" applyFont="1"/>
    <xf numFmtId="169" fontId="0" fillId="0" borderId="0" xfId="0" applyNumberFormat="1"/>
    <xf numFmtId="0" fontId="0" fillId="0" borderId="0" xfId="0" applyFont="1"/>
    <xf numFmtId="0" fontId="3" fillId="4" borderId="0" xfId="0" applyFont="1" applyFill="1" applyAlignment="1">
      <alignment horizontal="center"/>
    </xf>
    <xf numFmtId="0" fontId="0" fillId="4" borderId="0" xfId="0" applyFill="1"/>
    <xf numFmtId="3" fontId="0" fillId="4" borderId="0" xfId="0" applyNumberFormat="1" applyFill="1"/>
    <xf numFmtId="164" fontId="0" fillId="4" borderId="0" xfId="0" applyNumberFormat="1" applyFill="1"/>
    <xf numFmtId="10" fontId="0" fillId="4" borderId="2" xfId="0" applyNumberFormat="1" applyFill="1" applyBorder="1"/>
    <xf numFmtId="164" fontId="0" fillId="4" borderId="1" xfId="0" applyNumberFormat="1" applyFont="1" applyFill="1" applyBorder="1"/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0</xdr:rowOff>
    </xdr:from>
    <xdr:to>
      <xdr:col>11</xdr:col>
      <xdr:colOff>714375</xdr:colOff>
      <xdr:row>5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81625" y="0"/>
          <a:ext cx="6629400" cy="10287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85724</xdr:colOff>
      <xdr:row>5</xdr:row>
      <xdr:rowOff>9524</xdr:rowOff>
    </xdr:from>
    <xdr:to>
      <xdr:col>11</xdr:col>
      <xdr:colOff>695325</xdr:colOff>
      <xdr:row>12</xdr:row>
      <xdr:rowOff>180975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53049" y="1038224"/>
          <a:ext cx="6638926" cy="150495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6"/>
  <sheetViews>
    <sheetView tabSelected="1" workbookViewId="0">
      <selection activeCell="B7" sqref="B7"/>
    </sheetView>
  </sheetViews>
  <sheetFormatPr defaultRowHeight="15"/>
  <cols>
    <col min="1" max="1" width="40.85546875" bestFit="1" customWidth="1"/>
    <col min="2" max="2" width="12.7109375" customWidth="1"/>
    <col min="3" max="3" width="14" bestFit="1" customWidth="1"/>
    <col min="4" max="5" width="11.42578125" bestFit="1" customWidth="1"/>
    <col min="6" max="10" width="12.7109375" bestFit="1" customWidth="1"/>
    <col min="11" max="11" width="15.42578125" bestFit="1" customWidth="1"/>
    <col min="12" max="12" width="15" bestFit="1" customWidth="1"/>
    <col min="13" max="13" width="9.5703125" bestFit="1" customWidth="1"/>
  </cols>
  <sheetData>
    <row r="1" spans="1:12" ht="21">
      <c r="A1" s="16" t="s">
        <v>63</v>
      </c>
    </row>
    <row r="3" spans="1:12">
      <c r="A3" t="s">
        <v>0</v>
      </c>
      <c r="C3" s="22" t="s">
        <v>62</v>
      </c>
      <c r="D3" s="9">
        <v>0.75</v>
      </c>
    </row>
    <row r="4" spans="1:12">
      <c r="A4" t="s">
        <v>1</v>
      </c>
      <c r="C4" s="22"/>
      <c r="D4" s="8">
        <v>0.05</v>
      </c>
    </row>
    <row r="5" spans="1:12">
      <c r="A5" t="s">
        <v>2</v>
      </c>
      <c r="C5" s="22"/>
      <c r="D5" s="8">
        <v>6.5000000000000002E-2</v>
      </c>
    </row>
    <row r="6" spans="1:12">
      <c r="A6" t="s">
        <v>3</v>
      </c>
      <c r="C6" s="22"/>
      <c r="D6" s="8">
        <v>2.5000000000000001E-2</v>
      </c>
    </row>
    <row r="7" spans="1:12">
      <c r="A7" t="s">
        <v>5</v>
      </c>
      <c r="C7" s="22"/>
      <c r="D7" s="8">
        <v>0.04</v>
      </c>
    </row>
    <row r="8" spans="1:12">
      <c r="A8" t="s">
        <v>4</v>
      </c>
      <c r="C8" s="22"/>
      <c r="D8" s="4">
        <v>1000000</v>
      </c>
    </row>
    <row r="9" spans="1:12">
      <c r="A9" t="s">
        <v>6</v>
      </c>
      <c r="D9" s="5">
        <f>+(1+D4)*(1+D7)-1</f>
        <v>9.2000000000000082E-2</v>
      </c>
    </row>
    <row r="10" spans="1:12">
      <c r="A10" t="s">
        <v>9</v>
      </c>
      <c r="D10" s="5">
        <v>0.04</v>
      </c>
    </row>
    <row r="11" spans="1:12">
      <c r="A11" t="s">
        <v>10</v>
      </c>
      <c r="D11" s="5">
        <f>+(1+D4)*(1+D10)-1</f>
        <v>9.2000000000000082E-2</v>
      </c>
    </row>
    <row r="12" spans="1:12">
      <c r="A12" t="s">
        <v>42</v>
      </c>
      <c r="D12" s="5">
        <f>+D9-D6</f>
        <v>6.7000000000000087E-2</v>
      </c>
    </row>
    <row r="13" spans="1:12">
      <c r="A13" t="s">
        <v>43</v>
      </c>
      <c r="D13" s="5">
        <f>+(1+D9)/(1+D5)-1</f>
        <v>2.5352112676056526E-2</v>
      </c>
    </row>
    <row r="15" spans="1:12">
      <c r="A15" s="1" t="s">
        <v>40</v>
      </c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  <c r="K15">
        <v>10</v>
      </c>
      <c r="L15">
        <v>11</v>
      </c>
    </row>
    <row r="16" spans="1:12">
      <c r="A16" s="1" t="s">
        <v>27</v>
      </c>
    </row>
    <row r="17" spans="1:14">
      <c r="A17" t="s">
        <v>7</v>
      </c>
      <c r="B17" s="2">
        <f>(1-D3)*D8</f>
        <v>250000</v>
      </c>
      <c r="C17" s="2">
        <f t="shared" ref="C17:L17" si="0">+B17*(1+$D9)-B22</f>
        <v>266750</v>
      </c>
      <c r="D17" s="2">
        <f t="shared" si="0"/>
        <v>284622.25</v>
      </c>
      <c r="E17" s="2">
        <f t="shared" si="0"/>
        <v>303691.94075000001</v>
      </c>
      <c r="F17" s="2">
        <f t="shared" si="0"/>
        <v>324039.30078025005</v>
      </c>
      <c r="G17" s="2">
        <f t="shared" si="0"/>
        <v>345749.93393252685</v>
      </c>
      <c r="H17" s="2">
        <f t="shared" si="0"/>
        <v>368915.17950600618</v>
      </c>
      <c r="I17" s="2">
        <f t="shared" si="0"/>
        <v>393632.49653290858</v>
      </c>
      <c r="J17" s="2">
        <f t="shared" si="0"/>
        <v>420005.87380061345</v>
      </c>
      <c r="K17" s="2">
        <f t="shared" si="0"/>
        <v>448146.2673452546</v>
      </c>
      <c r="L17" s="2">
        <f t="shared" si="0"/>
        <v>478172.06725738669</v>
      </c>
      <c r="M17" s="12"/>
    </row>
    <row r="18" spans="1:14">
      <c r="A18" t="s">
        <v>16</v>
      </c>
      <c r="B18" s="2">
        <f>+C17</f>
        <v>266750</v>
      </c>
      <c r="C18" s="2">
        <f t="shared" ref="C18:K18" si="1">+D17</f>
        <v>284622.25</v>
      </c>
      <c r="D18" s="2">
        <f t="shared" si="1"/>
        <v>303691.94075000001</v>
      </c>
      <c r="E18" s="2">
        <f t="shared" si="1"/>
        <v>324039.30078025005</v>
      </c>
      <c r="F18" s="2">
        <f t="shared" si="1"/>
        <v>345749.93393252685</v>
      </c>
      <c r="G18" s="2">
        <f t="shared" si="1"/>
        <v>368915.17950600618</v>
      </c>
      <c r="H18" s="2">
        <f t="shared" si="1"/>
        <v>393632.49653290858</v>
      </c>
      <c r="I18" s="2">
        <f t="shared" si="1"/>
        <v>420005.87380061345</v>
      </c>
      <c r="J18" s="2">
        <f t="shared" si="1"/>
        <v>448146.2673452546</v>
      </c>
      <c r="K18" s="2">
        <f t="shared" si="1"/>
        <v>478172.06725738669</v>
      </c>
      <c r="L18" s="2"/>
    </row>
    <row r="19" spans="1:14">
      <c r="A19" t="s">
        <v>21</v>
      </c>
      <c r="B19" s="7">
        <f>+B17/100</f>
        <v>2500</v>
      </c>
      <c r="C19" s="7">
        <f>+B19</f>
        <v>2500</v>
      </c>
      <c r="D19" s="7">
        <f t="shared" ref="D19:K19" si="2">+C19</f>
        <v>2500</v>
      </c>
      <c r="E19" s="7">
        <f t="shared" si="2"/>
        <v>2500</v>
      </c>
      <c r="F19" s="7">
        <f t="shared" si="2"/>
        <v>2500</v>
      </c>
      <c r="G19" s="7">
        <f t="shared" si="2"/>
        <v>2500</v>
      </c>
      <c r="H19" s="7">
        <f t="shared" si="2"/>
        <v>2500</v>
      </c>
      <c r="I19" s="7">
        <f t="shared" si="2"/>
        <v>2500</v>
      </c>
      <c r="J19" s="7">
        <f t="shared" si="2"/>
        <v>2500</v>
      </c>
      <c r="K19" s="7">
        <f t="shared" si="2"/>
        <v>2500</v>
      </c>
      <c r="L19" s="2">
        <f>+K19</f>
        <v>2500</v>
      </c>
    </row>
    <row r="20" spans="1:14">
      <c r="A20" t="s">
        <v>35</v>
      </c>
      <c r="B20" s="11">
        <f>+B17/B19</f>
        <v>100</v>
      </c>
      <c r="C20" s="11">
        <f t="shared" ref="C20:L20" si="3">+C17/C19</f>
        <v>106.7</v>
      </c>
      <c r="D20" s="11">
        <f t="shared" si="3"/>
        <v>113.8489</v>
      </c>
      <c r="E20" s="11">
        <f t="shared" si="3"/>
        <v>121.4767763</v>
      </c>
      <c r="F20" s="11">
        <f t="shared" si="3"/>
        <v>129.61572031210002</v>
      </c>
      <c r="G20" s="11">
        <f t="shared" si="3"/>
        <v>138.29997357301073</v>
      </c>
      <c r="H20" s="11">
        <f t="shared" si="3"/>
        <v>147.56607180240246</v>
      </c>
      <c r="I20" s="11">
        <f t="shared" si="3"/>
        <v>157.45299861316343</v>
      </c>
      <c r="J20" s="11">
        <f t="shared" si="3"/>
        <v>168.00234952024539</v>
      </c>
      <c r="K20" s="11">
        <f t="shared" si="3"/>
        <v>179.25850693810185</v>
      </c>
      <c r="L20" s="11">
        <f t="shared" si="3"/>
        <v>191.26882690295469</v>
      </c>
      <c r="N20" s="12"/>
    </row>
    <row r="21" spans="1:14">
      <c r="A21" t="s">
        <v>50</v>
      </c>
      <c r="B21" s="11">
        <f>+C20</f>
        <v>106.7</v>
      </c>
      <c r="C21" s="11">
        <f t="shared" ref="C21:K21" si="4">+D20</f>
        <v>113.8489</v>
      </c>
      <c r="D21" s="11">
        <f t="shared" si="4"/>
        <v>121.4767763</v>
      </c>
      <c r="E21" s="11">
        <f t="shared" si="4"/>
        <v>129.61572031210002</v>
      </c>
      <c r="F21" s="11">
        <f t="shared" si="4"/>
        <v>138.29997357301073</v>
      </c>
      <c r="G21" s="11">
        <f t="shared" si="4"/>
        <v>147.56607180240246</v>
      </c>
      <c r="H21" s="11">
        <f t="shared" si="4"/>
        <v>157.45299861316343</v>
      </c>
      <c r="I21" s="11">
        <f t="shared" si="4"/>
        <v>168.00234952024539</v>
      </c>
      <c r="J21" s="11">
        <f t="shared" si="4"/>
        <v>179.25850693810185</v>
      </c>
      <c r="K21" s="11">
        <f t="shared" si="4"/>
        <v>191.26882690295469</v>
      </c>
      <c r="L21" s="11"/>
      <c r="N21" s="12"/>
    </row>
    <row r="22" spans="1:14">
      <c r="A22" t="s">
        <v>8</v>
      </c>
      <c r="B22" s="2">
        <f t="shared" ref="B22:K22" si="5">+$D6*B17</f>
        <v>6250</v>
      </c>
      <c r="C22" s="2">
        <f t="shared" si="5"/>
        <v>6668.75</v>
      </c>
      <c r="D22" s="2">
        <f t="shared" si="5"/>
        <v>7115.5562500000005</v>
      </c>
      <c r="E22" s="2">
        <f t="shared" si="5"/>
        <v>7592.2985187500008</v>
      </c>
      <c r="F22" s="2">
        <f t="shared" si="5"/>
        <v>8100.9825195062513</v>
      </c>
      <c r="G22" s="2">
        <f t="shared" si="5"/>
        <v>8643.7483483131709</v>
      </c>
      <c r="H22" s="2">
        <f t="shared" si="5"/>
        <v>9222.8794876501543</v>
      </c>
      <c r="I22" s="2">
        <f t="shared" si="5"/>
        <v>9840.8124133227157</v>
      </c>
      <c r="J22" s="2">
        <f t="shared" si="5"/>
        <v>10500.146845015337</v>
      </c>
      <c r="K22" s="2">
        <f t="shared" si="5"/>
        <v>11203.656683631365</v>
      </c>
      <c r="L22" s="2"/>
    </row>
    <row r="23" spans="1:14">
      <c r="A23" t="s">
        <v>22</v>
      </c>
      <c r="B23" s="11">
        <f>+B22/B19</f>
        <v>2.5</v>
      </c>
      <c r="C23" s="11">
        <f t="shared" ref="C23:K23" si="6">+C22/C19</f>
        <v>2.6675</v>
      </c>
      <c r="D23" s="11">
        <f t="shared" si="6"/>
        <v>2.8462225000000001</v>
      </c>
      <c r="E23" s="11">
        <f t="shared" si="6"/>
        <v>3.0369194075000001</v>
      </c>
      <c r="F23" s="11">
        <f t="shared" si="6"/>
        <v>3.2403930078025005</v>
      </c>
      <c r="G23" s="11">
        <f t="shared" si="6"/>
        <v>3.4574993393252682</v>
      </c>
      <c r="H23" s="11">
        <f t="shared" si="6"/>
        <v>3.6891517950600616</v>
      </c>
      <c r="I23" s="11">
        <f t="shared" si="6"/>
        <v>3.9363249653290864</v>
      </c>
      <c r="J23" s="11">
        <f t="shared" si="6"/>
        <v>4.2000587380061347</v>
      </c>
      <c r="K23" s="11">
        <f t="shared" si="6"/>
        <v>4.4814626734525458</v>
      </c>
      <c r="L23" s="2"/>
    </row>
    <row r="24" spans="1:14">
      <c r="A24" t="s">
        <v>25</v>
      </c>
      <c r="B24" s="2">
        <f>+$L17/(1+$D11)^(11-B15)</f>
        <v>198316.02969403562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4">
      <c r="A25" t="s">
        <v>24</v>
      </c>
      <c r="B25" s="2">
        <f t="shared" ref="B25:K25" si="7">+B22/(1+$D11)^B15</f>
        <v>5723.4432234432234</v>
      </c>
      <c r="C25" s="2">
        <f t="shared" si="7"/>
        <v>5592.4120141153098</v>
      </c>
      <c r="D25" s="2">
        <f t="shared" si="7"/>
        <v>5464.3806035357466</v>
      </c>
      <c r="E25" s="2">
        <f t="shared" si="7"/>
        <v>5339.2803149932615</v>
      </c>
      <c r="F25" s="2">
        <f t="shared" si="7"/>
        <v>5217.0440440456132</v>
      </c>
      <c r="G25" s="2">
        <f t="shared" si="7"/>
        <v>5097.6062225244232</v>
      </c>
      <c r="H25" s="2">
        <f t="shared" si="7"/>
        <v>4980.9027833640648</v>
      </c>
      <c r="I25" s="2">
        <f t="shared" si="7"/>
        <v>4866.8711262357674</v>
      </c>
      <c r="J25" s="2">
        <f t="shared" si="7"/>
        <v>4755.4500839684633</v>
      </c>
      <c r="K25" s="2">
        <f t="shared" si="7"/>
        <v>4646.5798897384166</v>
      </c>
      <c r="L25" s="2"/>
    </row>
    <row r="26" spans="1:14">
      <c r="A26" t="s">
        <v>26</v>
      </c>
      <c r="B26" s="2">
        <f>+SUM(B25:$K25)</f>
        <v>51683.970305964292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4">
      <c r="A27" t="s">
        <v>23</v>
      </c>
      <c r="B27" s="2">
        <f>+B24+SUM(B25:K25)</f>
        <v>249999.99999999991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4">
      <c r="A28" s="1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4">
      <c r="A29" s="13" t="s">
        <v>30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4">
      <c r="A30" t="s">
        <v>15</v>
      </c>
      <c r="B30" s="7">
        <f>+B33/B31</f>
        <v>7500</v>
      </c>
      <c r="C30" s="7">
        <f>+B30</f>
        <v>7500</v>
      </c>
      <c r="D30" s="7">
        <f t="shared" ref="D30:K30" si="8">+C30</f>
        <v>7500</v>
      </c>
      <c r="E30" s="7">
        <f t="shared" si="8"/>
        <v>7500</v>
      </c>
      <c r="F30" s="7">
        <f t="shared" si="8"/>
        <v>7500</v>
      </c>
      <c r="G30" s="7">
        <f t="shared" si="8"/>
        <v>7500</v>
      </c>
      <c r="H30" s="7">
        <f t="shared" si="8"/>
        <v>7500</v>
      </c>
      <c r="I30" s="7">
        <f t="shared" si="8"/>
        <v>7500</v>
      </c>
      <c r="J30" s="7">
        <f t="shared" si="8"/>
        <v>7500</v>
      </c>
      <c r="K30" s="7">
        <f t="shared" si="8"/>
        <v>7500</v>
      </c>
    </row>
    <row r="31" spans="1:14">
      <c r="A31" t="s">
        <v>29</v>
      </c>
      <c r="B31" s="3">
        <v>100</v>
      </c>
      <c r="C31" s="3">
        <v>100</v>
      </c>
      <c r="D31" s="3">
        <v>100</v>
      </c>
      <c r="E31" s="3">
        <v>100</v>
      </c>
      <c r="F31" s="3">
        <v>100</v>
      </c>
      <c r="G31" s="3">
        <v>100</v>
      </c>
      <c r="H31" s="3">
        <v>100</v>
      </c>
      <c r="I31" s="3">
        <v>100</v>
      </c>
      <c r="J31" s="3">
        <v>100</v>
      </c>
      <c r="K31" s="3">
        <v>100</v>
      </c>
      <c r="L31" s="6">
        <f>+K32</f>
        <v>100</v>
      </c>
    </row>
    <row r="32" spans="1:14">
      <c r="A32" t="s">
        <v>13</v>
      </c>
      <c r="B32" s="3">
        <f t="shared" ref="B32:I32" si="9">+C31</f>
        <v>100</v>
      </c>
      <c r="C32" s="3">
        <f t="shared" si="9"/>
        <v>100</v>
      </c>
      <c r="D32" s="3">
        <f t="shared" si="9"/>
        <v>100</v>
      </c>
      <c r="E32" s="3">
        <f t="shared" si="9"/>
        <v>100</v>
      </c>
      <c r="F32" s="3">
        <f t="shared" si="9"/>
        <v>100</v>
      </c>
      <c r="G32" s="3">
        <f t="shared" si="9"/>
        <v>100</v>
      </c>
      <c r="H32" s="3">
        <f t="shared" si="9"/>
        <v>100</v>
      </c>
      <c r="I32" s="3">
        <f t="shared" si="9"/>
        <v>100</v>
      </c>
      <c r="J32" s="3">
        <f>+K31</f>
        <v>100</v>
      </c>
      <c r="K32" s="3">
        <v>100</v>
      </c>
    </row>
    <row r="33" spans="1:14">
      <c r="A33" t="s">
        <v>12</v>
      </c>
      <c r="B33" s="2">
        <f>+D3*D8</f>
        <v>750000</v>
      </c>
      <c r="C33" s="2">
        <f>+C30*C31</f>
        <v>750000</v>
      </c>
      <c r="D33" s="2">
        <f t="shared" ref="D33:K33" si="10">+D30*D31</f>
        <v>750000</v>
      </c>
      <c r="E33" s="2">
        <f t="shared" si="10"/>
        <v>750000</v>
      </c>
      <c r="F33" s="2">
        <f t="shared" si="10"/>
        <v>750000</v>
      </c>
      <c r="G33" s="2">
        <f t="shared" si="10"/>
        <v>750000</v>
      </c>
      <c r="H33" s="2">
        <f t="shared" si="10"/>
        <v>750000</v>
      </c>
      <c r="I33" s="2">
        <f t="shared" si="10"/>
        <v>750000</v>
      </c>
      <c r="J33" s="2">
        <f t="shared" si="10"/>
        <v>750000</v>
      </c>
      <c r="K33" s="2">
        <f t="shared" si="10"/>
        <v>750000</v>
      </c>
      <c r="L33" s="2">
        <f>+D3*D8</f>
        <v>750000</v>
      </c>
    </row>
    <row r="34" spans="1:14">
      <c r="A34" t="s">
        <v>14</v>
      </c>
      <c r="B34" s="2">
        <f t="shared" ref="B34:K34" si="11">+$D5*B33</f>
        <v>48750</v>
      </c>
      <c r="C34" s="2">
        <f t="shared" si="11"/>
        <v>48750</v>
      </c>
      <c r="D34" s="2">
        <f t="shared" si="11"/>
        <v>48750</v>
      </c>
      <c r="E34" s="2">
        <f t="shared" si="11"/>
        <v>48750</v>
      </c>
      <c r="F34" s="2">
        <f t="shared" si="11"/>
        <v>48750</v>
      </c>
      <c r="G34" s="2">
        <f t="shared" si="11"/>
        <v>48750</v>
      </c>
      <c r="H34" s="2">
        <f t="shared" si="11"/>
        <v>48750</v>
      </c>
      <c r="I34" s="2">
        <f t="shared" si="11"/>
        <v>48750</v>
      </c>
      <c r="J34" s="2">
        <f t="shared" si="11"/>
        <v>48750</v>
      </c>
      <c r="K34" s="2">
        <f t="shared" si="11"/>
        <v>48750</v>
      </c>
      <c r="L34" s="2"/>
    </row>
    <row r="35" spans="1:14">
      <c r="A35" t="s">
        <v>46</v>
      </c>
      <c r="B35" s="2">
        <f t="shared" ref="B35:L35" si="12">+$L33/(1+$D11)^(11-B15)</f>
        <v>311053.34764455352</v>
      </c>
      <c r="C35" s="2">
        <f t="shared" si="12"/>
        <v>339670.25562785246</v>
      </c>
      <c r="D35" s="2">
        <f t="shared" si="12"/>
        <v>370919.9191456149</v>
      </c>
      <c r="E35" s="2">
        <f t="shared" si="12"/>
        <v>405044.55170701153</v>
      </c>
      <c r="F35" s="2">
        <f t="shared" si="12"/>
        <v>442308.65046405664</v>
      </c>
      <c r="G35" s="2">
        <f t="shared" si="12"/>
        <v>483001.04630674986</v>
      </c>
      <c r="H35" s="2">
        <f t="shared" si="12"/>
        <v>527437.1425669709</v>
      </c>
      <c r="I35" s="2">
        <f t="shared" si="12"/>
        <v>575961.35968313226</v>
      </c>
      <c r="J35" s="2">
        <f t="shared" si="12"/>
        <v>628949.80477398052</v>
      </c>
      <c r="K35" s="2">
        <f t="shared" si="12"/>
        <v>686813.18681318674</v>
      </c>
      <c r="L35" s="2">
        <f t="shared" si="12"/>
        <v>750000</v>
      </c>
    </row>
    <row r="36" spans="1:14">
      <c r="A36" t="s">
        <v>18</v>
      </c>
      <c r="B36" s="2">
        <f t="shared" ref="B36:K36" si="13">+B34/(1+$D11)^B15</f>
        <v>44642.857142857138</v>
      </c>
      <c r="C36" s="2">
        <f t="shared" si="13"/>
        <v>40881.73731030873</v>
      </c>
      <c r="D36" s="2">
        <f t="shared" si="13"/>
        <v>37437.4883794036</v>
      </c>
      <c r="E36" s="2">
        <f t="shared" si="13"/>
        <v>34283.414266853106</v>
      </c>
      <c r="F36" s="2">
        <f t="shared" si="13"/>
        <v>31395.068009938743</v>
      </c>
      <c r="G36" s="2">
        <f t="shared" si="13"/>
        <v>28750.062280163682</v>
      </c>
      <c r="H36" s="2">
        <f t="shared" si="13"/>
        <v>26327.895860955749</v>
      </c>
      <c r="I36" s="2">
        <f t="shared" si="13"/>
        <v>24109.794744464969</v>
      </c>
      <c r="J36" s="2">
        <f t="shared" si="13"/>
        <v>22078.566615810407</v>
      </c>
      <c r="K36" s="2">
        <f t="shared" si="13"/>
        <v>20218.467596895978</v>
      </c>
      <c r="L36" s="2"/>
    </row>
    <row r="37" spans="1:14">
      <c r="A37" t="s">
        <v>45</v>
      </c>
      <c r="B37" s="2">
        <f>SUM(B36:$K36)*(1+$D11)^(B15-1)</f>
        <v>310125.35220765212</v>
      </c>
      <c r="C37" s="2">
        <f>SUM(C36:$K36)*(1+$D11)^(C15-1)</f>
        <v>289906.88461075618</v>
      </c>
      <c r="D37" s="2">
        <f>SUM(D36:$K36)*(1+$D11)^(D15-1)</f>
        <v>267828.31799494568</v>
      </c>
      <c r="E37" s="2">
        <f>SUM(E36:$K36)*(1+$D11)^(E15-1)</f>
        <v>243718.52325048074</v>
      </c>
      <c r="F37" s="2">
        <f>SUM(F36:$K36)*(1+$D11)^(F15-1)</f>
        <v>217390.62738952503</v>
      </c>
      <c r="G37" s="2">
        <f>SUM(G36:$K36)*(1+$D11)^(G15-1)</f>
        <v>188640.56510936134</v>
      </c>
      <c r="H37" s="2">
        <f>SUM(H36:$K36)*(1+$D11)^(H15-1)</f>
        <v>157245.49709942256</v>
      </c>
      <c r="I37" s="2">
        <f>SUM(I36:$K36)*(1+$D11)^(I15-1)</f>
        <v>122962.08283256947</v>
      </c>
      <c r="J37" s="2">
        <f>SUM(J36:$K36)*(1+$D11)^(J15-1)</f>
        <v>85524.594453165861</v>
      </c>
      <c r="K37" s="2">
        <f>SUM(K36:$K36)*(1+$D11)^(K15-1)</f>
        <v>44642.857142857145</v>
      </c>
      <c r="L37" s="2"/>
    </row>
    <row r="38" spans="1:14">
      <c r="A38" t="s">
        <v>19</v>
      </c>
      <c r="B38" s="2">
        <f>+B35+SUM(B36:$K36)</f>
        <v>621178.69985220558</v>
      </c>
      <c r="C38" s="2">
        <f>+C35+C37</f>
        <v>629577.1402386087</v>
      </c>
      <c r="D38" s="2">
        <f t="shared" ref="D38:K38" si="14">+D35+D37</f>
        <v>638748.23714056052</v>
      </c>
      <c r="E38" s="2">
        <f t="shared" si="14"/>
        <v>648763.0749574923</v>
      </c>
      <c r="F38" s="2">
        <f t="shared" si="14"/>
        <v>659699.27785358171</v>
      </c>
      <c r="G38" s="2">
        <f t="shared" si="14"/>
        <v>671641.61141611123</v>
      </c>
      <c r="H38" s="2">
        <f t="shared" si="14"/>
        <v>684682.6396663934</v>
      </c>
      <c r="I38" s="2">
        <f t="shared" si="14"/>
        <v>698923.44251570175</v>
      </c>
      <c r="J38" s="2">
        <f t="shared" si="14"/>
        <v>714474.39922714641</v>
      </c>
      <c r="K38" s="2">
        <f t="shared" si="14"/>
        <v>731456.0439560439</v>
      </c>
      <c r="L38" s="2"/>
    </row>
    <row r="39" spans="1:14">
      <c r="A39" s="13" t="s">
        <v>31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4">
      <c r="A40" t="s">
        <v>44</v>
      </c>
      <c r="B40" s="3">
        <f>+B38/B30</f>
        <v>82.82382664696074</v>
      </c>
      <c r="C40" s="3">
        <f t="shared" ref="C40:K40" si="15">+C38/C30</f>
        <v>83.94361869848116</v>
      </c>
      <c r="D40" s="3">
        <f t="shared" si="15"/>
        <v>85.166431618741399</v>
      </c>
      <c r="E40" s="3">
        <f t="shared" si="15"/>
        <v>86.501743327665636</v>
      </c>
      <c r="F40" s="3">
        <f t="shared" si="15"/>
        <v>87.959903713810888</v>
      </c>
      <c r="G40" s="3">
        <f t="shared" si="15"/>
        <v>89.552214855481495</v>
      </c>
      <c r="H40" s="3">
        <f t="shared" si="15"/>
        <v>91.291018622185788</v>
      </c>
      <c r="I40" s="3">
        <f t="shared" si="15"/>
        <v>93.189792335426901</v>
      </c>
      <c r="J40" s="3">
        <f>+J38/J30</f>
        <v>95.263253230286182</v>
      </c>
      <c r="K40" s="3">
        <f t="shared" si="15"/>
        <v>97.527472527472526</v>
      </c>
      <c r="L40" s="2">
        <v>100</v>
      </c>
    </row>
    <row r="41" spans="1:14">
      <c r="A41" t="s">
        <v>47</v>
      </c>
      <c r="B41" s="3">
        <f>+C40</f>
        <v>83.94361869848116</v>
      </c>
      <c r="C41" s="3">
        <f t="shared" ref="C41:K41" si="16">+D40</f>
        <v>85.166431618741399</v>
      </c>
      <c r="D41" s="3">
        <f t="shared" si="16"/>
        <v>86.501743327665636</v>
      </c>
      <c r="E41" s="3">
        <f t="shared" si="16"/>
        <v>87.959903713810888</v>
      </c>
      <c r="F41" s="3">
        <f t="shared" si="16"/>
        <v>89.552214855481495</v>
      </c>
      <c r="G41" s="3">
        <f t="shared" si="16"/>
        <v>91.291018622185788</v>
      </c>
      <c r="H41" s="3">
        <f t="shared" si="16"/>
        <v>93.189792335426901</v>
      </c>
      <c r="I41" s="3">
        <f t="shared" si="16"/>
        <v>95.263253230286182</v>
      </c>
      <c r="J41" s="3">
        <f t="shared" si="16"/>
        <v>97.527472527472526</v>
      </c>
      <c r="K41" s="3">
        <f t="shared" si="16"/>
        <v>100</v>
      </c>
      <c r="L41" s="2"/>
    </row>
    <row r="42" spans="1:14">
      <c r="A42" t="s">
        <v>32</v>
      </c>
      <c r="B42" s="7">
        <f>+B33/B40</f>
        <v>9055.3652295842294</v>
      </c>
      <c r="C42" s="7">
        <f>+B42</f>
        <v>9055.3652295842294</v>
      </c>
      <c r="D42" s="7">
        <f t="shared" ref="D42:K42" si="17">+C42</f>
        <v>9055.3652295842294</v>
      </c>
      <c r="E42" s="7">
        <f t="shared" si="17"/>
        <v>9055.3652295842294</v>
      </c>
      <c r="F42" s="7">
        <f t="shared" si="17"/>
        <v>9055.3652295842294</v>
      </c>
      <c r="G42" s="7">
        <f t="shared" si="17"/>
        <v>9055.3652295842294</v>
      </c>
      <c r="H42" s="7">
        <f t="shared" si="17"/>
        <v>9055.3652295842294</v>
      </c>
      <c r="I42" s="7">
        <f t="shared" si="17"/>
        <v>9055.3652295842294</v>
      </c>
      <c r="J42" s="7">
        <f t="shared" si="17"/>
        <v>9055.3652295842294</v>
      </c>
      <c r="K42" s="7">
        <f t="shared" si="17"/>
        <v>9055.3652295842294</v>
      </c>
      <c r="L42" s="2">
        <f>+K42*100</f>
        <v>905536.52295842289</v>
      </c>
      <c r="N42" s="2"/>
    </row>
    <row r="43" spans="1:14">
      <c r="A43" t="s">
        <v>36</v>
      </c>
      <c r="B43" s="14">
        <f t="shared" ref="B43:K43" si="18">+B40*B42</f>
        <v>750000</v>
      </c>
      <c r="C43" s="14">
        <f t="shared" si="18"/>
        <v>760140.1260077029</v>
      </c>
      <c r="D43" s="14">
        <f t="shared" si="18"/>
        <v>771213.14360811375</v>
      </c>
      <c r="E43" s="14">
        <f t="shared" si="18"/>
        <v>783304.87882776302</v>
      </c>
      <c r="F43" s="14">
        <f t="shared" si="18"/>
        <v>796509.05368761986</v>
      </c>
      <c r="G43" s="14">
        <f t="shared" si="18"/>
        <v>810928.0126345834</v>
      </c>
      <c r="H43" s="14">
        <f t="shared" si="18"/>
        <v>826673.51580466761</v>
      </c>
      <c r="I43" s="14">
        <f t="shared" si="18"/>
        <v>843867.60526639968</v>
      </c>
      <c r="J43" s="14">
        <f t="shared" si="18"/>
        <v>862643.55095861095</v>
      </c>
      <c r="K43" s="14">
        <f t="shared" si="18"/>
        <v>883146.88365450583</v>
      </c>
      <c r="L43" s="2"/>
      <c r="N43" s="2"/>
    </row>
    <row r="44" spans="1:14">
      <c r="A44" t="s">
        <v>37</v>
      </c>
      <c r="B44" s="14">
        <f>+C43</f>
        <v>760140.1260077029</v>
      </c>
      <c r="C44" s="14">
        <f t="shared" ref="C44:J44" si="19">+D43</f>
        <v>771213.14360811375</v>
      </c>
      <c r="D44" s="14">
        <f t="shared" si="19"/>
        <v>783304.87882776302</v>
      </c>
      <c r="E44" s="14">
        <f t="shared" si="19"/>
        <v>796509.05368761986</v>
      </c>
      <c r="F44" s="14">
        <f t="shared" si="19"/>
        <v>810928.0126345834</v>
      </c>
      <c r="G44" s="14">
        <f t="shared" si="19"/>
        <v>826673.51580466761</v>
      </c>
      <c r="H44" s="14">
        <f t="shared" si="19"/>
        <v>843867.60526639968</v>
      </c>
      <c r="I44" s="14">
        <f t="shared" si="19"/>
        <v>862643.55095861095</v>
      </c>
      <c r="J44" s="14">
        <f t="shared" si="19"/>
        <v>883146.88365450583</v>
      </c>
      <c r="K44" s="14">
        <f>+L42</f>
        <v>905536.52295842289</v>
      </c>
      <c r="L44" s="2"/>
      <c r="N44" s="2"/>
    </row>
    <row r="45" spans="1:14">
      <c r="A45" t="s">
        <v>17</v>
      </c>
      <c r="B45" s="2">
        <f>+L42/(1+D11)^10</f>
        <v>375560.22250750201</v>
      </c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4">
      <c r="A46" t="s">
        <v>14</v>
      </c>
      <c r="B46" s="2">
        <f t="shared" ref="B46:K46" si="20">+B42*100*$D5</f>
        <v>58859.873992297493</v>
      </c>
      <c r="C46" s="2">
        <f t="shared" si="20"/>
        <v>58859.873992297493</v>
      </c>
      <c r="D46" s="2">
        <f t="shared" si="20"/>
        <v>58859.873992297493</v>
      </c>
      <c r="E46" s="2">
        <f t="shared" si="20"/>
        <v>58859.873992297493</v>
      </c>
      <c r="F46" s="2">
        <f t="shared" si="20"/>
        <v>58859.873992297493</v>
      </c>
      <c r="G46" s="2">
        <f t="shared" si="20"/>
        <v>58859.873992297493</v>
      </c>
      <c r="H46" s="2">
        <f t="shared" si="20"/>
        <v>58859.873992297493</v>
      </c>
      <c r="I46" s="2">
        <f t="shared" si="20"/>
        <v>58859.873992297493</v>
      </c>
      <c r="J46" s="2">
        <f t="shared" si="20"/>
        <v>58859.873992297493</v>
      </c>
      <c r="K46" s="2">
        <f t="shared" si="20"/>
        <v>58859.873992297493</v>
      </c>
      <c r="L46" s="2"/>
    </row>
    <row r="47" spans="1:14">
      <c r="A47" t="s">
        <v>18</v>
      </c>
      <c r="B47" s="2">
        <f t="shared" ref="B47:K47" si="21">+B46/(1+$D11)^B15</f>
        <v>53900.983509429934</v>
      </c>
      <c r="C47" s="2">
        <f t="shared" si="21"/>
        <v>49359.87500863547</v>
      </c>
      <c r="D47" s="2">
        <f t="shared" si="21"/>
        <v>45201.350740508664</v>
      </c>
      <c r="E47" s="2">
        <f t="shared" si="21"/>
        <v>41393.178333799144</v>
      </c>
      <c r="F47" s="2">
        <f t="shared" si="21"/>
        <v>37905.840965017524</v>
      </c>
      <c r="G47" s="2">
        <f t="shared" si="21"/>
        <v>34712.308576023373</v>
      </c>
      <c r="H47" s="2">
        <f t="shared" si="21"/>
        <v>31787.828366321766</v>
      </c>
      <c r="I47" s="2">
        <f t="shared" si="21"/>
        <v>29109.732936192089</v>
      </c>
      <c r="J47" s="2">
        <f t="shared" si="21"/>
        <v>26657.264593582495</v>
      </c>
      <c r="K47" s="2">
        <f t="shared" si="21"/>
        <v>24411.414462987632</v>
      </c>
      <c r="L47" s="2"/>
    </row>
    <row r="48" spans="1:14">
      <c r="A48" t="s">
        <v>33</v>
      </c>
      <c r="B48" s="2">
        <f>+SUM(B47:$K47)</f>
        <v>374439.77749249805</v>
      </c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t="s">
        <v>19</v>
      </c>
      <c r="B49" s="2">
        <f>+B45+SUM(B47:K47)</f>
        <v>750000</v>
      </c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t="s">
        <v>20</v>
      </c>
      <c r="B50" s="2">
        <f>+B27+B49</f>
        <v>999999.99999999988</v>
      </c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13" t="s">
        <v>34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t="s">
        <v>38</v>
      </c>
      <c r="B52" s="2">
        <f>+B22+B46</f>
        <v>65109.873992297493</v>
      </c>
      <c r="C52" s="2">
        <f t="shared" ref="C52:K52" si="22">+B60*$D5*100+B61*$D6*B21</f>
        <v>70242.566249098614</v>
      </c>
      <c r="D52" s="2">
        <f t="shared" si="22"/>
        <v>75710.567833540612</v>
      </c>
      <c r="E52" s="2">
        <f t="shared" si="22"/>
        <v>81525.320173902364</v>
      </c>
      <c r="F52" s="2">
        <f t="shared" si="22"/>
        <v>87697.151756273655</v>
      </c>
      <c r="G52" s="2">
        <f t="shared" si="22"/>
        <v>94235.066916316602</v>
      </c>
      <c r="H52" s="2">
        <f t="shared" si="22"/>
        <v>101146.5401858538</v>
      </c>
      <c r="I52" s="2">
        <f t="shared" si="22"/>
        <v>108437.32412839681</v>
      </c>
      <c r="J52" s="2">
        <f t="shared" si="22"/>
        <v>116111.27962992666</v>
      </c>
      <c r="K52" s="2">
        <f t="shared" si="22"/>
        <v>124170.23840299978</v>
      </c>
    </row>
    <row r="53" spans="1:12">
      <c r="A53" t="s">
        <v>11</v>
      </c>
      <c r="B53" s="2">
        <f>+B18+B44+B52</f>
        <v>1092000.0000000005</v>
      </c>
      <c r="C53" s="2">
        <f t="shared" ref="C53:K53" si="23">+B60*C41+B61*C21+C52</f>
        <v>1192464.0000000002</v>
      </c>
      <c r="D53" s="2">
        <f t="shared" si="23"/>
        <v>1302170.6880000005</v>
      </c>
      <c r="E53" s="2">
        <f t="shared" si="23"/>
        <v>1421970.3912960007</v>
      </c>
      <c r="F53" s="2">
        <f t="shared" si="23"/>
        <v>1552791.6672952329</v>
      </c>
      <c r="G53" s="2">
        <f t="shared" si="23"/>
        <v>1695648.5006863943</v>
      </c>
      <c r="H53" s="2">
        <f t="shared" si="23"/>
        <v>1851648.1627495429</v>
      </c>
      <c r="I53" s="2">
        <f t="shared" si="23"/>
        <v>2021999.7937225008</v>
      </c>
      <c r="J53" s="2">
        <f t="shared" si="23"/>
        <v>2208023.7747449712</v>
      </c>
      <c r="K53" s="2">
        <f t="shared" si="23"/>
        <v>2411161.9620215083</v>
      </c>
    </row>
    <row r="54" spans="1:12">
      <c r="A54" t="s">
        <v>39</v>
      </c>
      <c r="B54" s="2">
        <f t="shared" ref="B54:K54" si="24">+$D3*B53</f>
        <v>819000.00000000035</v>
      </c>
      <c r="C54" s="2">
        <f t="shared" si="24"/>
        <v>894348.00000000023</v>
      </c>
      <c r="D54" s="2">
        <f t="shared" si="24"/>
        <v>976628.01600000041</v>
      </c>
      <c r="E54" s="2">
        <f t="shared" si="24"/>
        <v>1066477.7934720004</v>
      </c>
      <c r="F54" s="2">
        <f t="shared" si="24"/>
        <v>1164593.7504714248</v>
      </c>
      <c r="G54" s="2">
        <f t="shared" si="24"/>
        <v>1271736.3755147958</v>
      </c>
      <c r="H54" s="2">
        <f t="shared" si="24"/>
        <v>1388736.1220621571</v>
      </c>
      <c r="I54" s="2">
        <f t="shared" si="24"/>
        <v>1516499.8452918755</v>
      </c>
      <c r="J54" s="2">
        <f t="shared" si="24"/>
        <v>1656017.8310587285</v>
      </c>
      <c r="K54" s="2">
        <f t="shared" si="24"/>
        <v>1808371.4715161312</v>
      </c>
    </row>
    <row r="55" spans="1:12">
      <c r="A55" t="s">
        <v>41</v>
      </c>
      <c r="B55" s="14">
        <f>+B42*B41</f>
        <v>760140.1260077029</v>
      </c>
      <c r="C55" s="14">
        <f t="shared" ref="C55:K55" si="25">+B60*C41</f>
        <v>830930.43375090149</v>
      </c>
      <c r="D55" s="14">
        <f t="shared" si="25"/>
        <v>908370.34816645994</v>
      </c>
      <c r="E55" s="14">
        <f t="shared" si="25"/>
        <v>993091.04009809822</v>
      </c>
      <c r="F55" s="14">
        <f t="shared" si="25"/>
        <v>1085783.913660751</v>
      </c>
      <c r="G55" s="14">
        <f t="shared" si="25"/>
        <v>1187206.2565190743</v>
      </c>
      <c r="H55" s="14">
        <f t="shared" si="25"/>
        <v>1298187.3850055933</v>
      </c>
      <c r="I55" s="14">
        <f t="shared" si="25"/>
        <v>1419635.3221806635</v>
      </c>
      <c r="J55" s="14">
        <f t="shared" si="25"/>
        <v>1552544.0501395673</v>
      </c>
      <c r="K55" s="14">
        <f t="shared" si="25"/>
        <v>1698001.3817052876</v>
      </c>
    </row>
    <row r="56" spans="1:12">
      <c r="A56" t="s">
        <v>58</v>
      </c>
      <c r="B56" s="2">
        <f t="shared" ref="B56:K56" si="26">+B54-B55</f>
        <v>58859.873992297449</v>
      </c>
      <c r="C56" s="2">
        <f t="shared" si="26"/>
        <v>63417.566249098745</v>
      </c>
      <c r="D56" s="2">
        <f t="shared" si="26"/>
        <v>68257.667833540472</v>
      </c>
      <c r="E56" s="2">
        <f t="shared" si="26"/>
        <v>73386.753373902175</v>
      </c>
      <c r="F56" s="2">
        <f t="shared" si="26"/>
        <v>78809.83681067382</v>
      </c>
      <c r="G56" s="2">
        <f t="shared" si="26"/>
        <v>84530.118995721452</v>
      </c>
      <c r="H56" s="2">
        <f t="shared" si="26"/>
        <v>90548.737056563841</v>
      </c>
      <c r="I56" s="2">
        <f t="shared" si="26"/>
        <v>96864.523111212067</v>
      </c>
      <c r="J56" s="2">
        <f t="shared" si="26"/>
        <v>103473.78091916116</v>
      </c>
      <c r="K56" s="2">
        <f t="shared" si="26"/>
        <v>110370.08981084358</v>
      </c>
    </row>
    <row r="57" spans="1:12">
      <c r="A57" t="s">
        <v>48</v>
      </c>
      <c r="B57" s="2">
        <f>+B52-B56</f>
        <v>6250.0000000000437</v>
      </c>
      <c r="C57" s="2">
        <f>+C52-C56</f>
        <v>6824.999999999869</v>
      </c>
      <c r="D57" s="2">
        <f t="shared" ref="D57:K57" si="27">+D52-D56</f>
        <v>7452.9000000001397</v>
      </c>
      <c r="E57" s="2">
        <f t="shared" si="27"/>
        <v>8138.5668000001897</v>
      </c>
      <c r="F57" s="2">
        <f t="shared" si="27"/>
        <v>8887.3149455998355</v>
      </c>
      <c r="G57" s="2">
        <f t="shared" si="27"/>
        <v>9704.9479205951502</v>
      </c>
      <c r="H57" s="2">
        <f t="shared" si="27"/>
        <v>10597.803129289954</v>
      </c>
      <c r="I57" s="2">
        <f t="shared" si="27"/>
        <v>11572.801017184742</v>
      </c>
      <c r="J57" s="2">
        <f t="shared" si="27"/>
        <v>12637.498710765503</v>
      </c>
      <c r="K57" s="2">
        <f t="shared" si="27"/>
        <v>13800.148592156198</v>
      </c>
    </row>
    <row r="58" spans="1:12">
      <c r="A58" t="s">
        <v>53</v>
      </c>
      <c r="B58" s="7">
        <f t="shared" ref="B58:K58" si="28">+B56/B41</f>
        <v>701.18342412324944</v>
      </c>
      <c r="C58" s="7">
        <f t="shared" si="28"/>
        <v>744.63101299107757</v>
      </c>
      <c r="D58" s="7">
        <f t="shared" si="28"/>
        <v>789.09008313257652</v>
      </c>
      <c r="E58" s="7">
        <f t="shared" si="28"/>
        <v>834.32052873404257</v>
      </c>
      <c r="F58" s="7">
        <f t="shared" si="28"/>
        <v>880.04341308427024</v>
      </c>
      <c r="G58" s="7">
        <f t="shared" si="28"/>
        <v>925.94124012960367</v>
      </c>
      <c r="H58" s="7">
        <f t="shared" si="28"/>
        <v>971.65939302282311</v>
      </c>
      <c r="I58" s="7">
        <f t="shared" si="28"/>
        <v>1016.8088935305939</v>
      </c>
      <c r="J58" s="7">
        <f t="shared" si="28"/>
        <v>1060.9705987204131</v>
      </c>
      <c r="K58" s="7">
        <f t="shared" si="28"/>
        <v>1103.7008981084357</v>
      </c>
    </row>
    <row r="59" spans="1:12">
      <c r="A59" t="s">
        <v>49</v>
      </c>
      <c r="B59" s="7">
        <f t="shared" ref="B59:K59" si="29">+B57/B21</f>
        <v>58.575445173383727</v>
      </c>
      <c r="C59" s="7">
        <f t="shared" si="29"/>
        <v>59.947878284286183</v>
      </c>
      <c r="D59" s="7">
        <f t="shared" si="29"/>
        <v>61.352467747369253</v>
      </c>
      <c r="E59" s="7">
        <f t="shared" si="29"/>
        <v>62.789966991684643</v>
      </c>
      <c r="F59" s="7">
        <f t="shared" si="29"/>
        <v>64.261147099265941</v>
      </c>
      <c r="G59" s="7">
        <f t="shared" si="29"/>
        <v>65.766797218743534</v>
      </c>
      <c r="H59" s="7">
        <f t="shared" si="29"/>
        <v>67.307724988630056</v>
      </c>
      <c r="I59" s="7">
        <f t="shared" si="29"/>
        <v>68.88475697055739</v>
      </c>
      <c r="J59" s="7">
        <f t="shared" si="29"/>
        <v>70.498739092640363</v>
      </c>
      <c r="K59" s="7">
        <f t="shared" si="29"/>
        <v>72.150537103247203</v>
      </c>
    </row>
    <row r="60" spans="1:12">
      <c r="A60" t="s">
        <v>51</v>
      </c>
      <c r="B60" s="7">
        <f>+B42+B58</f>
        <v>9756.5486537074794</v>
      </c>
      <c r="C60" s="7">
        <f t="shared" ref="C60:K60" si="30">+B60+C58</f>
        <v>10501.179666698557</v>
      </c>
      <c r="D60" s="7">
        <f t="shared" si="30"/>
        <v>11290.269749831134</v>
      </c>
      <c r="E60" s="7">
        <f t="shared" si="30"/>
        <v>12124.590278565176</v>
      </c>
      <c r="F60" s="7">
        <f t="shared" si="30"/>
        <v>13004.633691649446</v>
      </c>
      <c r="G60" s="7">
        <f t="shared" si="30"/>
        <v>13930.574931779049</v>
      </c>
      <c r="H60" s="7">
        <f t="shared" si="30"/>
        <v>14902.234324801871</v>
      </c>
      <c r="I60" s="7">
        <f t="shared" si="30"/>
        <v>15919.043218332465</v>
      </c>
      <c r="J60" s="7">
        <f t="shared" si="30"/>
        <v>16980.013817052877</v>
      </c>
      <c r="K60" s="7">
        <f t="shared" si="30"/>
        <v>18083.714715161314</v>
      </c>
    </row>
    <row r="61" spans="1:12">
      <c r="A61" t="s">
        <v>52</v>
      </c>
      <c r="B61" s="7">
        <f>+B19+B59</f>
        <v>2558.5754451733837</v>
      </c>
      <c r="C61" s="7">
        <f t="shared" ref="C61:K61" si="31">+B61+C59</f>
        <v>2618.5233234576699</v>
      </c>
      <c r="D61" s="7">
        <f t="shared" si="31"/>
        <v>2679.8757912050391</v>
      </c>
      <c r="E61" s="7">
        <f t="shared" si="31"/>
        <v>2742.6657581967238</v>
      </c>
      <c r="F61" s="7">
        <f t="shared" si="31"/>
        <v>2806.9269052959899</v>
      </c>
      <c r="G61" s="7">
        <f t="shared" si="31"/>
        <v>2872.6937025147336</v>
      </c>
      <c r="H61" s="7">
        <f t="shared" si="31"/>
        <v>2940.0014275033636</v>
      </c>
      <c r="I61" s="7">
        <f t="shared" si="31"/>
        <v>3008.8861844739208</v>
      </c>
      <c r="J61" s="7">
        <f t="shared" si="31"/>
        <v>3079.3849235665612</v>
      </c>
      <c r="K61" s="7">
        <f t="shared" si="31"/>
        <v>3151.5354606698083</v>
      </c>
    </row>
    <row r="62" spans="1:12">
      <c r="A62" t="s">
        <v>57</v>
      </c>
      <c r="B62" s="7">
        <f t="shared" ref="B62:K62" si="32">+B60*B41</f>
        <v>819000.00000000035</v>
      </c>
      <c r="C62" s="7">
        <f t="shared" si="32"/>
        <v>894348.00000000023</v>
      </c>
      <c r="D62" s="7">
        <f t="shared" si="32"/>
        <v>976628.01600000041</v>
      </c>
      <c r="E62" s="7">
        <f t="shared" si="32"/>
        <v>1066477.7934720004</v>
      </c>
      <c r="F62" s="7">
        <f t="shared" si="32"/>
        <v>1164593.7504714245</v>
      </c>
      <c r="G62" s="7">
        <f t="shared" si="32"/>
        <v>1271736.3755147958</v>
      </c>
      <c r="H62" s="7">
        <f t="shared" si="32"/>
        <v>1388736.1220621571</v>
      </c>
      <c r="I62" s="7">
        <f t="shared" si="32"/>
        <v>1516499.8452918755</v>
      </c>
      <c r="J62" s="7">
        <f t="shared" si="32"/>
        <v>1656017.8310587283</v>
      </c>
      <c r="K62" s="7">
        <f t="shared" si="32"/>
        <v>1808371.4715161314</v>
      </c>
    </row>
    <row r="63" spans="1:12">
      <c r="A63" t="s">
        <v>56</v>
      </c>
      <c r="B63" s="7">
        <f t="shared" ref="B63:K63" si="33">+B61*B21</f>
        <v>273000.00000000006</v>
      </c>
      <c r="C63" s="7">
        <f t="shared" si="33"/>
        <v>298115.99999999994</v>
      </c>
      <c r="D63" s="7">
        <f t="shared" si="33"/>
        <v>325542.67200000002</v>
      </c>
      <c r="E63" s="7">
        <f t="shared" si="33"/>
        <v>355492.59782400029</v>
      </c>
      <c r="F63" s="7">
        <f t="shared" si="33"/>
        <v>388197.91682380822</v>
      </c>
      <c r="G63" s="7">
        <f t="shared" si="33"/>
        <v>423912.12517159857</v>
      </c>
      <c r="H63" s="7">
        <f t="shared" si="33"/>
        <v>462912.0406873856</v>
      </c>
      <c r="I63" s="7">
        <f t="shared" si="33"/>
        <v>505499.9484306252</v>
      </c>
      <c r="J63" s="7">
        <f t="shared" si="33"/>
        <v>552005.94368624268</v>
      </c>
      <c r="K63" s="7">
        <f t="shared" si="33"/>
        <v>602790.49050537718</v>
      </c>
    </row>
    <row r="64" spans="1:12">
      <c r="A64" t="s">
        <v>54</v>
      </c>
      <c r="B64" s="7">
        <f>SUM(B62:B63)</f>
        <v>1092000.0000000005</v>
      </c>
      <c r="C64" s="7">
        <f t="shared" ref="C64:K64" si="34">SUM(C62:C63)</f>
        <v>1192464.0000000002</v>
      </c>
      <c r="D64" s="7">
        <f t="shared" si="34"/>
        <v>1302170.6880000005</v>
      </c>
      <c r="E64" s="7">
        <f t="shared" si="34"/>
        <v>1421970.3912960007</v>
      </c>
      <c r="F64" s="7">
        <f t="shared" si="34"/>
        <v>1552791.6672952329</v>
      </c>
      <c r="G64" s="7">
        <f t="shared" si="34"/>
        <v>1695648.5006863943</v>
      </c>
      <c r="H64" s="7">
        <f t="shared" si="34"/>
        <v>1851648.1627495429</v>
      </c>
      <c r="I64" s="7">
        <f t="shared" si="34"/>
        <v>2021999.7937225008</v>
      </c>
      <c r="J64" s="7">
        <f t="shared" si="34"/>
        <v>2208023.7747449707</v>
      </c>
      <c r="K64" s="7">
        <f t="shared" si="34"/>
        <v>2411161.9620215087</v>
      </c>
    </row>
    <row r="65" spans="1:11">
      <c r="A65" t="s">
        <v>59</v>
      </c>
      <c r="B65" s="10">
        <f>+B62/B64</f>
        <v>0.75</v>
      </c>
      <c r="C65" s="10">
        <f t="shared" ref="C65:J65" si="35">+C62/C64</f>
        <v>0.75</v>
      </c>
      <c r="D65" s="10">
        <f t="shared" si="35"/>
        <v>0.75</v>
      </c>
      <c r="E65" s="10">
        <f t="shared" si="35"/>
        <v>0.74999999999999989</v>
      </c>
      <c r="F65" s="10">
        <f t="shared" si="35"/>
        <v>0.74999999999999989</v>
      </c>
      <c r="G65" s="10">
        <f t="shared" si="35"/>
        <v>0.75</v>
      </c>
      <c r="H65" s="10">
        <f t="shared" si="35"/>
        <v>0.75</v>
      </c>
      <c r="I65" s="10">
        <f t="shared" si="35"/>
        <v>0.75</v>
      </c>
      <c r="J65" s="10">
        <f t="shared" si="35"/>
        <v>0.75000000000000011</v>
      </c>
      <c r="K65" s="7"/>
    </row>
    <row r="66" spans="1:11">
      <c r="A66" t="s">
        <v>55</v>
      </c>
      <c r="B66" s="14">
        <f>+K64/(1+D11)^10</f>
        <v>1000000.0000000001</v>
      </c>
      <c r="C66" s="2"/>
      <c r="D66" s="2"/>
      <c r="E66" s="2"/>
      <c r="F66" s="2"/>
      <c r="G66" s="2"/>
      <c r="H66" s="2"/>
      <c r="I66" s="2"/>
      <c r="J66" s="2"/>
      <c r="K66" s="2"/>
    </row>
    <row r="68" spans="1:11" ht="15.75" thickBot="1">
      <c r="A68" s="17" t="s">
        <v>60</v>
      </c>
      <c r="B68" s="18"/>
      <c r="C68" s="21">
        <f>+D8-B27-B38</f>
        <v>128821.30014779454</v>
      </c>
      <c r="D68" s="7"/>
      <c r="E68" s="7"/>
      <c r="F68" s="7"/>
      <c r="G68" s="7"/>
      <c r="H68" s="7"/>
      <c r="I68" s="7"/>
      <c r="J68" s="7"/>
      <c r="K68" s="7"/>
    </row>
    <row r="69" spans="1:11" ht="16.5" thickTop="1" thickBot="1">
      <c r="A69" s="17" t="s">
        <v>61</v>
      </c>
      <c r="B69" s="19"/>
      <c r="C69" s="20">
        <f>+C68/D8</f>
        <v>0.12882130014779453</v>
      </c>
      <c r="D69" s="2"/>
      <c r="E69" s="2"/>
      <c r="F69" s="2"/>
      <c r="G69" s="2"/>
      <c r="H69" s="2"/>
      <c r="I69" s="2"/>
      <c r="J69" s="2"/>
      <c r="K69" s="2"/>
    </row>
    <row r="70" spans="1:11" ht="15.75" thickTop="1"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>
      <c r="A81" s="15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15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15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13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B85" s="2"/>
    </row>
    <row r="86" spans="1:11">
      <c r="B86" s="10"/>
    </row>
  </sheetData>
  <mergeCells count="1">
    <mergeCell ref="C3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Simkins</dc:creator>
  <cp:lastModifiedBy>Charles Collocott</cp:lastModifiedBy>
  <dcterms:created xsi:type="dcterms:W3CDTF">2019-05-31T18:54:05Z</dcterms:created>
  <dcterms:modified xsi:type="dcterms:W3CDTF">2019-06-21T12:13:00Z</dcterms:modified>
</cp:coreProperties>
</file>